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Feuil1" sheetId="1" r:id="rId1"/>
    <sheet name="Feuil2" sheetId="2" r:id="rId2"/>
    <sheet name="Feuil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<sst xmlns="http://schemas.openxmlformats.org/spreadsheetml/2006/main" count="80" uniqueCount="43">
  <si>
    <t>En % du PIB</t>
  </si>
  <si>
    <t xml:space="preserve"> Variation </t>
  </si>
  <si>
    <t xml:space="preserve"> Variation en %</t>
  </si>
  <si>
    <t>Total des interventions de BAM</t>
  </si>
  <si>
    <t>Reprise de liquidité</t>
  </si>
  <si>
    <t xml:space="preserve"> -</t>
  </si>
  <si>
    <t>Pension livrée</t>
  </si>
  <si>
    <t>Swap de change</t>
  </si>
  <si>
    <t>Facilités de dépôts à 24H</t>
  </si>
  <si>
    <t>Volume moyen des transactions</t>
  </si>
  <si>
    <t>Encours moyen à fin décembre</t>
  </si>
  <si>
    <t>Bons du Trésor Négociables</t>
  </si>
  <si>
    <t>Bons du Trésor émis par adjudication</t>
  </si>
  <si>
    <t>Emprunts nationnaux</t>
  </si>
  <si>
    <t>-</t>
  </si>
  <si>
    <t>Autres titres de créances négociables (Emissions)</t>
  </si>
  <si>
    <t>Certificat  dépôt (CD)</t>
  </si>
  <si>
    <t>Bons des sociétés de financement (BSF)</t>
  </si>
  <si>
    <t>Billets de trésorerie (BT)</t>
  </si>
  <si>
    <t>SOUSCRIPTIONS   T O T A L E S</t>
  </si>
  <si>
    <t>SOUSCRIPTIONS    CDG+Ass+CIMR</t>
  </si>
  <si>
    <t>SOUSCRIPTIONS    OPCVM et sts de bourse</t>
  </si>
  <si>
    <t>EMISSION DU TRESOR à Long terme (*)</t>
  </si>
  <si>
    <t>CHIFFRE D'AFFAIRES</t>
  </si>
  <si>
    <t>CAPITALISATION  BOURSIERE</t>
  </si>
  <si>
    <t>INDICE GENERAL variation en %</t>
  </si>
  <si>
    <t>MASI</t>
  </si>
  <si>
    <t>AUGMENTATION  DE  CAPITAL</t>
  </si>
  <si>
    <t>Variation en %</t>
  </si>
  <si>
    <t>3179,81     ;        2240,51</t>
  </si>
  <si>
    <t>3943,51     ;      3174,56</t>
  </si>
  <si>
    <t>4521,98     ;      3522,38</t>
  </si>
  <si>
    <t>5539,13     ;      4358,87</t>
  </si>
  <si>
    <t>9479,5     ;      7743,81</t>
  </si>
  <si>
    <t>MADEX</t>
  </si>
  <si>
    <t>Avances à 7j</t>
  </si>
  <si>
    <t>Avances  à 24H</t>
  </si>
  <si>
    <t>1  INTERVENTION BAM</t>
  </si>
  <si>
    <t>2  MARCHE  INTERBANCAIRE</t>
  </si>
  <si>
    <t>3  MARCHE  DES TITRES DE CREANCES NEGOCAIBLES</t>
  </si>
  <si>
    <t>I- MARCHE MONETAIRE</t>
  </si>
  <si>
    <t>II  MARCHE OBLIGATAIRE</t>
  </si>
  <si>
    <t>III  MARCHE BOURSIER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</si>
</sst>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%"/>
    <numFmt numFmtId="166" formatCode="0.0_)"/>
    <numFmt numFmtId="167" formatCode="_-* #,##0.00\ [$€]_-;\-* #,##0.00\ [$€]_-;_-* &quot;-&quot;??\ [$€]_-;_-@_-"/>
    <numFmt numFmtId="168" formatCode="0.0"/>
    <numFmt numFmtId="169" formatCode="&quot;Vrai&quot;;&quot;Vrai&quot;;&quot;Faux&quot;"/>
    <numFmt numFmtId="170" formatCode="0.000_)"/>
  </numFmts>
  <fonts count="21">
    <font>
      <sz val="10"/>
      <name val="Arial"/>
      <family val="0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sz val="11"/>
      <color indexed="8"/>
      <name val="Calibri"/>
      <family val="2"/>
    </font>
    <font>
      <b/>
      <sz val="20"/>
      <color indexed="8"/>
      <name val="Verdana"/>
      <family val="0"/>
    </font>
    <font>
      <sz val="10"/>
      <color indexed="8"/>
      <name val="Arial"/>
      <family val="0"/>
    </font>
    <font>
      <b/>
      <sz val="12"/>
      <color indexed="16"/>
      <name val="Arial"/>
      <family val="0"/>
    </font>
    <font>
      <b/>
      <sz val="12"/>
      <color indexed="18"/>
      <name val="Arial"/>
      <family val="0"/>
    </font>
    <font>
      <sz val="10"/>
      <color indexed="16"/>
      <name val="Arial"/>
      <family val="0"/>
    </font>
    <font>
      <sz val="10"/>
      <color indexed="18"/>
      <name val="Arial"/>
      <family val="0"/>
    </font>
    <font>
      <sz val="12"/>
      <name val="SWISS"/>
      <family val="0"/>
    </font>
    <font>
      <sz val="11"/>
      <name val="Trebuchet MS"/>
      <family val="2"/>
    </font>
    <font>
      <b/>
      <sz val="11"/>
      <color indexed="9"/>
      <name val="Candara"/>
      <family val="2"/>
    </font>
    <font>
      <sz val="11"/>
      <color indexed="56"/>
      <name val="Trebuchet MS"/>
      <family val="2"/>
    </font>
    <font>
      <b/>
      <sz val="11"/>
      <color indexed="19"/>
      <name val="Candara"/>
      <family val="2"/>
    </font>
    <font>
      <sz val="11"/>
      <color indexed="19"/>
      <name val="Candara"/>
      <family val="2"/>
    </font>
    <font>
      <sz val="11"/>
      <name val="Candara"/>
      <family val="2"/>
    </font>
    <font>
      <sz val="11"/>
      <color indexed="21"/>
      <name val="Candara"/>
      <family val="2"/>
    </font>
    <font>
      <sz val="11"/>
      <color indexed="21"/>
      <name val="Trebuchet MS"/>
      <family val="2"/>
    </font>
    <font>
      <b/>
      <i/>
      <sz val="11"/>
      <color indexed="21"/>
      <name val="Candara"/>
      <family val="2"/>
    </font>
    <font>
      <sz val="11"/>
      <color indexed="1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22"/>
      </top>
      <bottom/>
    </border>
    <border>
      <left/>
      <right/>
      <top style="thin">
        <color indexed="22"/>
      </top>
      <bottom style="thin">
        <color indexed="22"/>
      </bottom>
    </border>
    <border>
      <left/>
      <right/>
      <top style="hair">
        <color indexed="22"/>
      </top>
      <bottom/>
    </border>
    <border>
      <left style="thin"/>
      <right style="thin"/>
      <top/>
      <bottom/>
    </border>
    <border>
      <left/>
      <right/>
      <top/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1" fillId="0" borderId="0" xfId="15" applyFont="1" applyFill="1" applyAlignment="1">
      <alignment/>
    </xf>
    <xf numFmtId="0" fontId="12" fillId="2" borderId="1" xfId="15" applyFont="1" applyFill="1" applyBorder="1" applyAlignment="1">
      <alignment vertical="center"/>
    </xf>
    <xf numFmtId="0" fontId="12" fillId="2" borderId="1" xfId="15" applyFont="1" applyFill="1" applyBorder="1" applyAlignment="1">
      <alignment horizontal="center" vertical="center"/>
    </xf>
    <xf numFmtId="0" fontId="12" fillId="2" borderId="1" xfId="15" applyFont="1" applyFill="1" applyBorder="1" applyAlignment="1">
      <alignment horizontal="right" vertical="center"/>
    </xf>
    <xf numFmtId="0" fontId="13" fillId="0" borderId="0" xfId="15" applyFont="1" applyFill="1" applyAlignment="1">
      <alignment vertical="center"/>
    </xf>
    <xf numFmtId="0" fontId="14" fillId="3" borderId="2" xfId="15" applyFont="1" applyFill="1" applyBorder="1" applyAlignment="1">
      <alignment vertical="center"/>
    </xf>
    <xf numFmtId="0" fontId="15" fillId="3" borderId="2" xfId="15" applyFont="1" applyFill="1" applyBorder="1" applyAlignment="1">
      <alignment vertical="center"/>
    </xf>
    <xf numFmtId="0" fontId="14" fillId="4" borderId="2" xfId="15" applyFont="1" applyFill="1" applyBorder="1" applyAlignment="1">
      <alignment vertical="center"/>
    </xf>
    <xf numFmtId="0" fontId="15" fillId="4" borderId="2" xfId="15" applyFont="1" applyFill="1" applyBorder="1" applyAlignment="1">
      <alignment vertical="center"/>
    </xf>
    <xf numFmtId="0" fontId="11" fillId="4" borderId="0" xfId="15" applyFont="1" applyFill="1" applyAlignment="1">
      <alignment/>
    </xf>
    <xf numFmtId="0" fontId="16" fillId="4" borderId="0" xfId="15" applyFont="1" applyFill="1" applyAlignment="1">
      <alignment vertical="center"/>
    </xf>
    <xf numFmtId="0" fontId="17" fillId="5" borderId="0" xfId="15" applyFont="1" applyFill="1" applyBorder="1" applyAlignment="1">
      <alignment horizontal="center" vertical="center"/>
    </xf>
    <xf numFmtId="1" fontId="16" fillId="4" borderId="0" xfId="15" applyNumberFormat="1" applyFont="1" applyFill="1" applyAlignment="1">
      <alignment horizontal="center" vertical="center"/>
    </xf>
    <xf numFmtId="3" fontId="16" fillId="4" borderId="0" xfId="15" applyNumberFormat="1" applyFont="1" applyFill="1" applyAlignment="1">
      <alignment horizontal="right" vertical="center"/>
    </xf>
    <xf numFmtId="0" fontId="16" fillId="4" borderId="0" xfId="15" applyFont="1" applyFill="1" applyAlignment="1">
      <alignment horizontal="center" vertical="center"/>
    </xf>
    <xf numFmtId="1" fontId="16" fillId="4" borderId="0" xfId="15" applyNumberFormat="1" applyFont="1" applyFill="1" applyAlignment="1">
      <alignment horizontal="right" vertical="center"/>
    </xf>
    <xf numFmtId="1" fontId="16" fillId="4" borderId="0" xfId="15" applyNumberFormat="1" applyFont="1" applyFill="1" applyAlignment="1">
      <alignment horizontal="right"/>
    </xf>
    <xf numFmtId="0" fontId="16" fillId="4" borderId="0" xfId="15" applyFont="1" applyFill="1" applyAlignment="1">
      <alignment horizontal="right"/>
    </xf>
    <xf numFmtId="1" fontId="11" fillId="0" borderId="0" xfId="15" applyNumberFormat="1" applyFont="1" applyFill="1" applyAlignment="1">
      <alignment horizontal="center"/>
    </xf>
    <xf numFmtId="1" fontId="11" fillId="0" borderId="0" xfId="15" applyNumberFormat="1" applyFont="1" applyFill="1" applyAlignment="1">
      <alignment horizontal="center" vertical="center"/>
    </xf>
    <xf numFmtId="3" fontId="16" fillId="4" borderId="0" xfId="15" applyNumberFormat="1" applyFont="1" applyFill="1" applyAlignment="1">
      <alignment horizontal="right"/>
    </xf>
    <xf numFmtId="0" fontId="18" fillId="4" borderId="0" xfId="15" applyFont="1" applyFill="1" applyBorder="1" applyAlignment="1">
      <alignment horizontal="center" vertical="center"/>
    </xf>
    <xf numFmtId="3" fontId="16" fillId="0" borderId="0" xfId="15" applyNumberFormat="1" applyFont="1" applyFill="1" applyAlignment="1">
      <alignment horizontal="right" vertical="center"/>
    </xf>
    <xf numFmtId="166" fontId="11" fillId="0" borderId="0" xfId="15" applyNumberFormat="1" applyFont="1" applyFill="1" applyAlignment="1">
      <alignment horizontal="center"/>
    </xf>
    <xf numFmtId="0" fontId="19" fillId="4" borderId="0" xfId="15" applyFont="1" applyFill="1" applyAlignment="1">
      <alignment vertical="center"/>
    </xf>
    <xf numFmtId="1" fontId="19" fillId="4" borderId="0" xfId="15" applyNumberFormat="1" applyFont="1" applyFill="1" applyAlignment="1">
      <alignment horizontal="center" vertical="center"/>
    </xf>
    <xf numFmtId="3" fontId="19" fillId="4" borderId="0" xfId="15" applyNumberFormat="1" applyFont="1" applyFill="1" applyAlignment="1">
      <alignment horizontal="right" vertical="center"/>
    </xf>
    <xf numFmtId="0" fontId="16" fillId="4" borderId="0" xfId="15" applyFont="1" applyFill="1" applyAlignment="1">
      <alignment horizontal="left" vertical="center" indent="1"/>
    </xf>
    <xf numFmtId="0" fontId="18" fillId="0" borderId="0" xfId="15" applyFont="1" applyFill="1" applyBorder="1" applyAlignment="1">
      <alignment horizontal="center" vertical="center"/>
    </xf>
    <xf numFmtId="0" fontId="11" fillId="0" borderId="0" xfId="15" applyFont="1" applyFill="1" applyAlignment="1">
      <alignment horizontal="center"/>
    </xf>
    <xf numFmtId="166" fontId="16" fillId="4" borderId="0" xfId="15" applyNumberFormat="1" applyFont="1" applyFill="1" applyAlignment="1" applyProtection="1">
      <alignment vertical="center"/>
      <protection/>
    </xf>
    <xf numFmtId="166" fontId="16" fillId="4" borderId="0" xfId="15" applyNumberFormat="1" applyFont="1" applyFill="1" applyAlignment="1" applyProtection="1">
      <alignment horizontal="center" vertical="center"/>
      <protection/>
    </xf>
    <xf numFmtId="165" fontId="16" fillId="4" borderId="0" xfId="22" applyNumberFormat="1" applyFont="1" applyFill="1" applyAlignment="1" applyProtection="1">
      <alignment horizontal="right" vertical="center"/>
      <protection/>
    </xf>
    <xf numFmtId="9" fontId="16" fillId="4" borderId="0" xfId="22" applyFont="1" applyFill="1" applyAlignment="1">
      <alignment horizontal="right"/>
    </xf>
    <xf numFmtId="166" fontId="11" fillId="0" borderId="0" xfId="15" applyNumberFormat="1" applyFont="1" applyFill="1" applyAlignment="1" applyProtection="1">
      <alignment horizontal="center" vertical="center"/>
      <protection/>
    </xf>
    <xf numFmtId="0" fontId="16" fillId="4" borderId="0" xfId="15" applyFont="1" applyFill="1" applyAlignment="1">
      <alignment/>
    </xf>
    <xf numFmtId="166" fontId="16" fillId="4" borderId="0" xfId="15" applyNumberFormat="1" applyFont="1" applyFill="1" applyAlignment="1" applyProtection="1">
      <alignment/>
      <protection/>
    </xf>
    <xf numFmtId="0" fontId="16" fillId="4" borderId="0" xfId="15" applyFont="1" applyFill="1" applyBorder="1" applyAlignment="1">
      <alignment vertical="center"/>
    </xf>
    <xf numFmtId="0" fontId="16" fillId="4" borderId="0" xfId="15" applyFont="1" applyFill="1" applyBorder="1" applyAlignment="1">
      <alignment horizontal="center" vertical="center"/>
    </xf>
    <xf numFmtId="0" fontId="16" fillId="4" borderId="0" xfId="15" applyFont="1" applyFill="1" applyBorder="1" applyAlignment="1">
      <alignment/>
    </xf>
    <xf numFmtId="166" fontId="16" fillId="4" borderId="0" xfId="15" applyNumberFormat="1" applyFont="1" applyFill="1" applyBorder="1" applyAlignment="1" applyProtection="1">
      <alignment vertical="center"/>
      <protection/>
    </xf>
    <xf numFmtId="166" fontId="16" fillId="4" borderId="0" xfId="15" applyNumberFormat="1" applyFont="1" applyFill="1" applyBorder="1" applyAlignment="1" applyProtection="1">
      <alignment horizontal="center" vertical="center"/>
      <protection/>
    </xf>
    <xf numFmtId="166" fontId="16" fillId="4" borderId="0" xfId="15" applyNumberFormat="1" applyFont="1" applyFill="1" applyBorder="1" applyAlignment="1" applyProtection="1">
      <alignment/>
      <protection/>
    </xf>
    <xf numFmtId="164" fontId="16" fillId="4" borderId="0" xfId="15" applyNumberFormat="1" applyFont="1" applyFill="1" applyBorder="1" applyAlignment="1" applyProtection="1">
      <alignment horizontal="center" vertical="center"/>
      <protection/>
    </xf>
    <xf numFmtId="0" fontId="16" fillId="4" borderId="3" xfId="15" applyFont="1" applyFill="1" applyBorder="1" applyAlignment="1">
      <alignment vertical="center"/>
    </xf>
    <xf numFmtId="164" fontId="16" fillId="4" borderId="3" xfId="15" applyNumberFormat="1" applyFont="1" applyFill="1" applyBorder="1" applyAlignment="1" applyProtection="1">
      <alignment vertical="center"/>
      <protection/>
    </xf>
    <xf numFmtId="164" fontId="16" fillId="4" borderId="3" xfId="15" applyNumberFormat="1" applyFont="1" applyFill="1" applyBorder="1" applyAlignment="1" applyProtection="1">
      <alignment horizontal="center" vertical="center"/>
      <protection/>
    </xf>
    <xf numFmtId="0" fontId="16" fillId="4" borderId="3" xfId="15" applyFont="1" applyFill="1" applyBorder="1" applyAlignment="1">
      <alignment horizontal="center" vertical="center"/>
    </xf>
    <xf numFmtId="3" fontId="16" fillId="4" borderId="3" xfId="15" applyNumberFormat="1" applyFont="1" applyFill="1" applyBorder="1" applyAlignment="1">
      <alignment horizontal="right" vertical="center"/>
    </xf>
    <xf numFmtId="1" fontId="11" fillId="0" borderId="0" xfId="15" applyNumberFormat="1" applyFont="1" applyFill="1" applyBorder="1" applyAlignment="1">
      <alignment horizontal="center" vertical="center"/>
    </xf>
    <xf numFmtId="165" fontId="16" fillId="4" borderId="0" xfId="22" applyNumberFormat="1" applyFont="1" applyFill="1" applyBorder="1" applyAlignment="1" applyProtection="1">
      <alignment horizontal="right" vertical="center"/>
      <protection/>
    </xf>
    <xf numFmtId="166" fontId="11" fillId="0" borderId="0" xfId="15" applyNumberFormat="1" applyFont="1" applyFill="1" applyBorder="1" applyAlignment="1" applyProtection="1">
      <alignment horizontal="center" vertical="center"/>
      <protection/>
    </xf>
    <xf numFmtId="3" fontId="16" fillId="4" borderId="0" xfId="15" applyNumberFormat="1" applyFont="1" applyFill="1" applyBorder="1" applyAlignment="1">
      <alignment horizontal="right" vertical="center"/>
    </xf>
    <xf numFmtId="0" fontId="11" fillId="0" borderId="0" xfId="15" applyFont="1" applyFill="1" applyBorder="1" applyAlignment="1">
      <alignment horizontal="center" vertical="center"/>
    </xf>
    <xf numFmtId="164" fontId="16" fillId="4" borderId="0" xfId="15" applyNumberFormat="1" applyFont="1" applyFill="1" applyBorder="1" applyAlignment="1" applyProtection="1">
      <alignment vertical="center"/>
      <protection/>
    </xf>
    <xf numFmtId="9" fontId="16" fillId="4" borderId="0" xfId="15" applyNumberFormat="1" applyFont="1" applyFill="1" applyBorder="1" applyAlignment="1" applyProtection="1">
      <alignment horizontal="right" vertical="center"/>
      <protection/>
    </xf>
    <xf numFmtId="0" fontId="16" fillId="4" borderId="0" xfId="15" applyFont="1" applyFill="1" applyBorder="1" applyAlignment="1">
      <alignment horizontal="right"/>
    </xf>
    <xf numFmtId="0" fontId="15" fillId="4" borderId="0" xfId="15" applyFont="1" applyFill="1" applyBorder="1" applyAlignment="1">
      <alignment vertical="center"/>
    </xf>
    <xf numFmtId="0" fontId="15" fillId="4" borderId="0" xfId="15" applyFont="1" applyFill="1" applyBorder="1" applyAlignment="1">
      <alignment horizontal="center" vertical="center"/>
    </xf>
    <xf numFmtId="0" fontId="15" fillId="4" borderId="0" xfId="15" applyFont="1" applyFill="1" applyBorder="1" applyAlignment="1">
      <alignment horizontal="right" vertical="center"/>
    </xf>
    <xf numFmtId="165" fontId="15" fillId="4" borderId="0" xfId="15" applyNumberFormat="1" applyFont="1" applyFill="1" applyBorder="1" applyAlignment="1">
      <alignment horizontal="right"/>
    </xf>
    <xf numFmtId="0" fontId="20" fillId="0" borderId="0" xfId="15" applyFont="1" applyFill="1" applyAlignment="1">
      <alignment/>
    </xf>
    <xf numFmtId="165" fontId="15" fillId="4" borderId="0" xfId="15" applyNumberFormat="1" applyFont="1" applyFill="1" applyBorder="1" applyAlignment="1">
      <alignment horizontal="right" vertical="center"/>
    </xf>
    <xf numFmtId="166" fontId="15" fillId="4" borderId="0" xfId="15" applyNumberFormat="1" applyFont="1" applyFill="1" applyBorder="1" applyAlignment="1" applyProtection="1">
      <alignment vertical="center"/>
      <protection/>
    </xf>
    <xf numFmtId="166" fontId="15" fillId="4" borderId="0" xfId="15" applyNumberFormat="1" applyFont="1" applyFill="1" applyBorder="1" applyAlignment="1" applyProtection="1">
      <alignment horizontal="center" vertical="center"/>
      <protection/>
    </xf>
    <xf numFmtId="166" fontId="15" fillId="4" borderId="0" xfId="15" applyNumberFormat="1" applyFont="1" applyFill="1" applyBorder="1" applyAlignment="1" applyProtection="1">
      <alignment horizontal="right" vertical="center"/>
      <protection/>
    </xf>
    <xf numFmtId="165" fontId="15" fillId="4" borderId="4" xfId="15" applyNumberFormat="1" applyFont="1" applyFill="1" applyBorder="1" applyAlignment="1">
      <alignment horizontal="right" vertical="center"/>
    </xf>
    <xf numFmtId="0" fontId="15" fillId="4" borderId="5" xfId="15" applyFont="1" applyFill="1" applyBorder="1" applyAlignment="1">
      <alignment vertical="center"/>
    </xf>
    <xf numFmtId="166" fontId="15" fillId="4" borderId="5" xfId="15" applyNumberFormat="1" applyFont="1" applyFill="1" applyBorder="1" applyAlignment="1" applyProtection="1">
      <alignment vertical="center"/>
      <protection/>
    </xf>
    <xf numFmtId="0" fontId="15" fillId="4" borderId="5" xfId="15" applyFont="1" applyFill="1" applyBorder="1" applyAlignment="1">
      <alignment horizontal="right" vertical="center"/>
    </xf>
    <xf numFmtId="165" fontId="15" fillId="4" borderId="5" xfId="15" applyNumberFormat="1" applyFont="1" applyFill="1" applyBorder="1" applyAlignment="1" applyProtection="1" quotePrefix="1">
      <alignment horizontal="right" vertical="center"/>
      <protection/>
    </xf>
  </cellXfs>
  <cellStyles count="9">
    <cellStyle name="Normal" xfId="0"/>
    <cellStyle name="‏_x001D_ً½_x000C_'ے-&#13; ےU_x0001_ٌ_x0005_ˆ_x0008__x0007__x0001__x0001_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Capitalisation Boursière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 Milliards de DH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4199896"/>
        <c:axId val="60690201"/>
      </c:barChart>
      <c:lineChart>
        <c:grouping val="standard"/>
        <c:varyColors val="0"/>
        <c:ser>
          <c:idx val="0"/>
          <c:order val="1"/>
          <c:tx>
            <c:v>En % du PIB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9340898"/>
        <c:axId val="16959219"/>
      </c:lineChart>
      <c:catAx>
        <c:axId val="141998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90201"/>
        <c:crosses val="autoZero"/>
        <c:auto val="0"/>
        <c:lblOffset val="100"/>
        <c:tickLblSkip val="20"/>
        <c:noMultiLvlLbl val="0"/>
      </c:catAx>
      <c:valAx>
        <c:axId val="60690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En Milliards de DH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14199896"/>
        <c:crossesAt val="1"/>
        <c:crossBetween val="between"/>
        <c:dispUnits/>
      </c:valAx>
      <c:catAx>
        <c:axId val="9340898"/>
        <c:scaling>
          <c:orientation val="minMax"/>
        </c:scaling>
        <c:axPos val="b"/>
        <c:delete val="1"/>
        <c:majorTickMark val="out"/>
        <c:minorTickMark val="none"/>
        <c:tickLblPos val="nextTo"/>
        <c:crossAx val="16959219"/>
        <c:crosses val="autoZero"/>
        <c:auto val="0"/>
        <c:lblOffset val="100"/>
        <c:tickLblSkip val="1"/>
        <c:noMultiLvlLbl val="0"/>
      </c:catAx>
      <c:valAx>
        <c:axId val="16959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En % du PIB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934089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127</xdr:row>
      <xdr:rowOff>0</xdr:rowOff>
    </xdr:from>
    <xdr:to>
      <xdr:col>9</xdr:col>
      <xdr:colOff>1066800</xdr:colOff>
      <xdr:row>139</xdr:row>
      <xdr:rowOff>133350</xdr:rowOff>
    </xdr:to>
    <xdr:graphicFrame>
      <xdr:nvGraphicFramePr>
        <xdr:cNvPr id="1" name="Chart 14"/>
        <xdr:cNvGraphicFramePr/>
      </xdr:nvGraphicFramePr>
      <xdr:xfrm>
        <a:off x="3581400" y="23193375"/>
        <a:ext cx="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ce3\conjoncture$\Masse%20Monetaire\Transactions%20M.Monetai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nts%20and%20Settings\srpue\Local%20Settings\Temporary%20Internet%20Files\Content.Outlook\RFFTX38N\khamlichi\A_SSCE\SCEDETTE\detteint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aide%20memoire\Aide%20m&#233;moire\Aide%20m&#233;moire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aide%20memoire\Aide%20m&#233;moire\Aide_memoire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érie TMM"/>
      <sheetName val="Transactions MM"/>
      <sheetName val="annuel"/>
      <sheetName val="Internet"/>
      <sheetName val="internet tmm"/>
    </sheetNames>
    <sheetDataSet>
      <sheetData sheetId="0">
        <row r="5">
          <cell r="C5">
            <v>2068.377419354839</v>
          </cell>
          <cell r="O5">
            <v>3188.1566666666668</v>
          </cell>
          <cell r="AA5">
            <v>1981</v>
          </cell>
          <cell r="AQ5">
            <v>3757</v>
          </cell>
          <cell r="BC5">
            <v>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érie DI"/>
      <sheetName val="DI"/>
    </sheetNames>
    <sheetDataSet>
      <sheetData sheetId="0">
        <row r="16">
          <cell r="AC16">
            <v>8899</v>
          </cell>
        </row>
        <row r="27">
          <cell r="AC27">
            <v>9320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 (2)"/>
      <sheetName val="A"/>
      <sheetName val="1 (pêche)"/>
      <sheetName val="Prod"/>
      <sheetName val="TI"/>
      <sheetName val="TI(2)"/>
      <sheetName val="FP"/>
      <sheetName val="CE"/>
      <sheetName val="DP"/>
      <sheetName val="MC"/>
      <sheetName val="MB"/>
    </sheetNames>
    <sheetDataSet>
      <sheetData sheetId="3">
        <row r="26">
          <cell r="B26">
            <v>92897.74</v>
          </cell>
          <cell r="C26">
            <v>99142.7</v>
          </cell>
          <cell r="D26">
            <v>112344.9</v>
          </cell>
          <cell r="E26">
            <v>129506.9</v>
          </cell>
          <cell r="F26">
            <v>154336</v>
          </cell>
          <cell r="G26">
            <v>156689</v>
          </cell>
          <cell r="H26">
            <v>182230</v>
          </cell>
          <cell r="I26">
            <v>193930.9</v>
          </cell>
          <cell r="J26">
            <v>212823</v>
          </cell>
          <cell r="K26">
            <v>242360</v>
          </cell>
          <cell r="L26">
            <v>242912</v>
          </cell>
          <cell r="M26">
            <v>384385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ocial"/>
      <sheetName val="Prod"/>
      <sheetName val="TI"/>
      <sheetName val="TI(2)"/>
      <sheetName val="FP"/>
      <sheetName val="CE"/>
      <sheetName val="DP"/>
      <sheetName val="MC"/>
      <sheetName val="MB"/>
    </sheetNames>
    <sheetDataSet>
      <sheetData sheetId="1">
        <row r="23">
          <cell r="N23">
            <v>389569</v>
          </cell>
          <cell r="O23">
            <v>393381</v>
          </cell>
          <cell r="P23">
            <v>426402</v>
          </cell>
          <cell r="Q23">
            <v>445426</v>
          </cell>
          <cell r="R23">
            <v>477021</v>
          </cell>
          <cell r="S23">
            <v>505015</v>
          </cell>
          <cell r="T23">
            <v>527679</v>
          </cell>
          <cell r="U23">
            <v>577344</v>
          </cell>
          <cell r="V23">
            <v>616254</v>
          </cell>
          <cell r="W23">
            <v>688843</v>
          </cell>
          <cell r="X23">
            <v>732449</v>
          </cell>
          <cell r="Y23">
            <v>764030</v>
          </cell>
          <cell r="Z23">
            <v>802607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tabSelected="1" workbookViewId="0" topLeftCell="A1">
      <selection activeCell="Z45" sqref="Z45"/>
    </sheetView>
  </sheetViews>
  <sheetFormatPr defaultColWidth="11.421875" defaultRowHeight="15.75" customHeight="1"/>
  <cols>
    <col min="1" max="1" width="53.7109375" style="10" customWidth="1"/>
    <col min="2" max="8" width="14.140625" style="10" hidden="1" customWidth="1"/>
    <col min="9" max="9" width="36.00390625" style="10" hidden="1" customWidth="1"/>
    <col min="10" max="11" width="39.140625" style="10" hidden="1" customWidth="1"/>
    <col min="12" max="17" width="33.140625" style="10" hidden="1" customWidth="1"/>
    <col min="18" max="19" width="9.7109375" style="10" hidden="1" customWidth="1"/>
    <col min="20" max="30" width="8.8515625" style="10" customWidth="1"/>
    <col min="31" max="31" width="8.8515625" style="1" customWidth="1"/>
    <col min="32" max="32" width="9.140625" style="1" customWidth="1"/>
    <col min="33" max="16384" width="11.421875" style="1" customWidth="1"/>
  </cols>
  <sheetData>
    <row r="1" spans="1:30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1" s="5" customFormat="1" ht="15.75" customHeight="1">
      <c r="A2" s="2"/>
      <c r="B2" s="2">
        <v>1982</v>
      </c>
      <c r="C2" s="2">
        <v>1983</v>
      </c>
      <c r="D2" s="2">
        <v>1984</v>
      </c>
      <c r="E2" s="2">
        <v>1985</v>
      </c>
      <c r="F2" s="2">
        <v>1986</v>
      </c>
      <c r="G2" s="3">
        <v>1987</v>
      </c>
      <c r="H2" s="3">
        <v>1988</v>
      </c>
      <c r="I2" s="3">
        <v>1989</v>
      </c>
      <c r="J2" s="3">
        <v>1990</v>
      </c>
      <c r="K2" s="3">
        <v>1991</v>
      </c>
      <c r="L2" s="3">
        <v>1992</v>
      </c>
      <c r="M2" s="4">
        <v>1993</v>
      </c>
      <c r="N2" s="4">
        <v>1994</v>
      </c>
      <c r="O2" s="4">
        <v>1995</v>
      </c>
      <c r="P2" s="4">
        <v>1996</v>
      </c>
      <c r="Q2" s="4">
        <v>1997</v>
      </c>
      <c r="R2" s="4">
        <v>1998</v>
      </c>
      <c r="S2" s="4">
        <v>1999</v>
      </c>
      <c r="T2" s="4">
        <v>2000</v>
      </c>
      <c r="U2" s="4">
        <v>2001</v>
      </c>
      <c r="V2" s="4">
        <v>2002</v>
      </c>
      <c r="W2" s="4">
        <v>2003</v>
      </c>
      <c r="X2" s="2">
        <v>2004</v>
      </c>
      <c r="Y2" s="2">
        <v>2005</v>
      </c>
      <c r="Z2" s="2">
        <v>2006</v>
      </c>
      <c r="AA2" s="2">
        <v>2007</v>
      </c>
      <c r="AB2" s="2">
        <v>2008</v>
      </c>
      <c r="AC2" s="4">
        <v>2009</v>
      </c>
      <c r="AD2" s="4">
        <v>2010</v>
      </c>
      <c r="AE2" s="4">
        <v>2011</v>
      </c>
    </row>
    <row r="3" spans="1:31" s="5" customFormat="1" ht="15" customHeight="1">
      <c r="A3" s="6" t="s">
        <v>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10" customFormat="1" ht="15.75" customHeight="1">
      <c r="A4" s="8" t="s">
        <v>37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13.5" customHeight="1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>
        <f>SUM(O6:O9)</f>
        <v>2068.377419354839</v>
      </c>
      <c r="P5" s="13">
        <f>SUM(P6:P9)</f>
        <v>3188.1566666666668</v>
      </c>
      <c r="Q5" s="13">
        <f>SUM(Q6:Q9)</f>
        <v>1981</v>
      </c>
      <c r="R5" s="14">
        <f>SUM(R6:R9)</f>
        <v>3757</v>
      </c>
      <c r="S5" s="14">
        <f>SUM(S6:S9)</f>
        <v>44</v>
      </c>
      <c r="T5" s="14">
        <f aca="true" t="shared" si="0" ref="T5:AC5">SUM(T6:T11)</f>
        <v>3490</v>
      </c>
      <c r="U5" s="14">
        <f t="shared" si="0"/>
        <v>1274</v>
      </c>
      <c r="V5" s="14">
        <f t="shared" si="0"/>
        <v>-2383</v>
      </c>
      <c r="W5" s="14">
        <f t="shared" si="0"/>
        <v>-242</v>
      </c>
      <c r="X5" s="14">
        <f t="shared" si="0"/>
        <v>-3624</v>
      </c>
      <c r="Y5" s="14">
        <f t="shared" si="0"/>
        <v>-1062</v>
      </c>
      <c r="Z5" s="14">
        <f t="shared" si="0"/>
        <v>-5750</v>
      </c>
      <c r="AA5" s="14">
        <f t="shared" si="0"/>
        <v>4193</v>
      </c>
      <c r="AB5" s="14">
        <f t="shared" si="0"/>
        <v>11932</v>
      </c>
      <c r="AC5" s="14">
        <f t="shared" si="0"/>
        <v>16733.7</v>
      </c>
      <c r="AD5" s="14">
        <f>SUM(AD6:AD11)</f>
        <v>16849</v>
      </c>
      <c r="AE5" s="14">
        <f>SUM(AE6:AE11)</f>
        <v>23326</v>
      </c>
    </row>
    <row r="6" spans="1:31" ht="13.5" customHeight="1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>
        <f>+'[1]Série TMM'!$C$5</f>
        <v>2068.377419354839</v>
      </c>
      <c r="P6" s="13">
        <f>+'[1]Série TMM'!$O$5</f>
        <v>3188.1566666666668</v>
      </c>
      <c r="Q6" s="13">
        <f>+'[1]Série TMM'!$AA$5</f>
        <v>1981</v>
      </c>
      <c r="R6" s="14">
        <f>+'[1]Série TMM'!$AQ$5</f>
        <v>3757</v>
      </c>
      <c r="S6" s="14">
        <f>+'[1]Série TMM'!$BC$5</f>
        <v>44</v>
      </c>
      <c r="T6" s="14">
        <v>3448</v>
      </c>
      <c r="U6" s="14">
        <v>2177</v>
      </c>
      <c r="V6" s="14">
        <v>32</v>
      </c>
      <c r="W6" s="14">
        <f>168+575</f>
        <v>743</v>
      </c>
      <c r="X6" s="14" t="s">
        <v>5</v>
      </c>
      <c r="Y6" s="14">
        <v>509</v>
      </c>
      <c r="Z6" s="14">
        <v>66</v>
      </c>
      <c r="AA6" s="14">
        <v>4240</v>
      </c>
      <c r="AB6" s="14">
        <v>11012</v>
      </c>
      <c r="AC6" s="14">
        <v>16569</v>
      </c>
      <c r="AD6" s="14">
        <v>16705</v>
      </c>
      <c r="AE6" s="14">
        <v>21212</v>
      </c>
    </row>
    <row r="7" spans="1:33" ht="13.5" customHeight="1">
      <c r="A7" s="11" t="s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5"/>
      <c r="P7" s="15"/>
      <c r="Q7" s="13"/>
      <c r="R7" s="16"/>
      <c r="S7" s="16"/>
      <c r="T7" s="16" t="s">
        <v>5</v>
      </c>
      <c r="U7" s="16">
        <v>-910</v>
      </c>
      <c r="V7" s="17">
        <v>-2426</v>
      </c>
      <c r="W7" s="17">
        <v>-784</v>
      </c>
      <c r="X7" s="17">
        <v>-607</v>
      </c>
      <c r="Y7" s="17">
        <v>-244</v>
      </c>
      <c r="Z7" s="17">
        <v>-3759</v>
      </c>
      <c r="AA7" s="18">
        <v>-597</v>
      </c>
      <c r="AB7" s="18" t="s">
        <v>5</v>
      </c>
      <c r="AC7" s="18" t="s">
        <v>5</v>
      </c>
      <c r="AD7" s="18" t="s">
        <v>5</v>
      </c>
      <c r="AE7" s="16" t="s">
        <v>5</v>
      </c>
      <c r="AF7" s="19"/>
      <c r="AG7" s="19"/>
    </row>
    <row r="8" spans="1:33" ht="13.5" customHeight="1">
      <c r="A8" s="11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5"/>
      <c r="P8" s="15"/>
      <c r="Q8" s="13"/>
      <c r="R8" s="16"/>
      <c r="S8" s="16"/>
      <c r="T8" s="16" t="s">
        <v>5</v>
      </c>
      <c r="U8" s="16" t="s">
        <v>5</v>
      </c>
      <c r="V8" s="16" t="s">
        <v>5</v>
      </c>
      <c r="W8" s="16" t="s">
        <v>5</v>
      </c>
      <c r="X8" s="16" t="s">
        <v>5</v>
      </c>
      <c r="Y8" s="16" t="s">
        <v>5</v>
      </c>
      <c r="Z8" s="16" t="s">
        <v>5</v>
      </c>
      <c r="AA8" s="18">
        <v>161</v>
      </c>
      <c r="AB8" s="17">
        <v>236</v>
      </c>
      <c r="AC8" s="17">
        <v>149</v>
      </c>
      <c r="AD8" s="17">
        <v>77</v>
      </c>
      <c r="AE8" s="17">
        <v>2157</v>
      </c>
      <c r="AF8" s="19"/>
      <c r="AG8" s="19"/>
    </row>
    <row r="9" spans="1:33" ht="13.5" customHeight="1">
      <c r="A9" s="11" t="s">
        <v>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5"/>
      <c r="P9" s="13"/>
      <c r="Q9" s="13"/>
      <c r="R9" s="16"/>
      <c r="S9" s="16"/>
      <c r="T9" s="16" t="s">
        <v>5</v>
      </c>
      <c r="U9" s="16" t="s">
        <v>5</v>
      </c>
      <c r="V9" s="16" t="s">
        <v>5</v>
      </c>
      <c r="W9" s="17">
        <v>-211</v>
      </c>
      <c r="X9" s="18">
        <v>-449</v>
      </c>
      <c r="Y9" s="18" t="s">
        <v>5</v>
      </c>
      <c r="Z9" s="18" t="s">
        <v>5</v>
      </c>
      <c r="AA9" s="18" t="s">
        <v>5</v>
      </c>
      <c r="AB9" s="18">
        <v>640</v>
      </c>
      <c r="AC9" s="18" t="s">
        <v>5</v>
      </c>
      <c r="AD9" s="18" t="s">
        <v>5</v>
      </c>
      <c r="AE9" s="18" t="s">
        <v>5</v>
      </c>
      <c r="AF9" s="19"/>
      <c r="AG9" s="19"/>
    </row>
    <row r="10" spans="1:33" ht="13.5" customHeight="1">
      <c r="A10" s="11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5"/>
      <c r="P10" s="13"/>
      <c r="Q10" s="13"/>
      <c r="R10" s="16"/>
      <c r="S10" s="16"/>
      <c r="T10" s="16" t="s">
        <v>5</v>
      </c>
      <c r="U10" s="16" t="s">
        <v>5</v>
      </c>
      <c r="V10" s="16" t="s">
        <v>5</v>
      </c>
      <c r="W10" s="17">
        <v>4</v>
      </c>
      <c r="X10" s="16">
        <v>-2588</v>
      </c>
      <c r="Y10" s="16">
        <v>-1757</v>
      </c>
      <c r="Z10" s="16">
        <v>-2069</v>
      </c>
      <c r="AA10" s="16">
        <v>-41</v>
      </c>
      <c r="AB10" s="18" t="s">
        <v>5</v>
      </c>
      <c r="AC10" s="16" t="s">
        <v>5</v>
      </c>
      <c r="AD10" s="16" t="s">
        <v>5</v>
      </c>
      <c r="AE10" s="16">
        <v>-43</v>
      </c>
      <c r="AF10" s="20"/>
      <c r="AG10" s="20"/>
    </row>
    <row r="11" spans="1:33" ht="13.5" customHeight="1">
      <c r="A11" s="11" t="s">
        <v>36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5"/>
      <c r="P11" s="13"/>
      <c r="Q11" s="13"/>
      <c r="R11" s="16"/>
      <c r="S11" s="16"/>
      <c r="T11" s="16">
        <v>42</v>
      </c>
      <c r="U11" s="16">
        <v>7</v>
      </c>
      <c r="V11" s="17">
        <v>11</v>
      </c>
      <c r="W11" s="17">
        <v>6</v>
      </c>
      <c r="X11" s="16">
        <v>20</v>
      </c>
      <c r="Y11" s="16">
        <v>430</v>
      </c>
      <c r="Z11" s="16">
        <v>12</v>
      </c>
      <c r="AA11" s="16">
        <v>430</v>
      </c>
      <c r="AB11" s="18">
        <v>44</v>
      </c>
      <c r="AC11" s="16">
        <v>15.7</v>
      </c>
      <c r="AD11" s="16">
        <v>67</v>
      </c>
      <c r="AE11" s="16" t="s">
        <v>5</v>
      </c>
      <c r="AF11" s="20"/>
      <c r="AG11" s="20"/>
    </row>
    <row r="12" spans="1:31" s="10" customFormat="1" ht="13.5" customHeight="1">
      <c r="A12" s="8" t="s">
        <v>38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3" ht="14.25" customHeight="1">
      <c r="A13" s="11" t="s"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  <c r="N13" s="13"/>
      <c r="O13" s="13"/>
      <c r="P13" s="13">
        <v>2028</v>
      </c>
      <c r="Q13" s="13">
        <v>2449</v>
      </c>
      <c r="R13" s="14">
        <v>2945</v>
      </c>
      <c r="S13" s="14">
        <v>2109</v>
      </c>
      <c r="T13" s="14">
        <f>+(2397+1832+1737+2338+2749+2916+3637+2294+2404+2957+2694+2788)/12</f>
        <v>2561.9166666666665</v>
      </c>
      <c r="U13" s="14">
        <f>+(3096+2889+2988+3142+3082+3002+3708+3145+2530+2673+2194+2692)/12</f>
        <v>2928.4166666666665</v>
      </c>
      <c r="V13" s="14">
        <f>+(1601+1523+1454+2186+1730+1942+2318+2471+1642+2355+2488+2071)/12</f>
        <v>1981.75</v>
      </c>
      <c r="W13" s="14">
        <v>951</v>
      </c>
      <c r="X13" s="14">
        <v>1361</v>
      </c>
      <c r="Y13" s="14">
        <v>1768</v>
      </c>
      <c r="Z13" s="14">
        <v>2420</v>
      </c>
      <c r="AA13" s="14">
        <v>2213</v>
      </c>
      <c r="AB13" s="14">
        <v>2964</v>
      </c>
      <c r="AC13" s="14">
        <v>2715</v>
      </c>
      <c r="AD13" s="14">
        <v>2605.3</v>
      </c>
      <c r="AE13" s="14">
        <v>3359</v>
      </c>
      <c r="AF13" s="20"/>
      <c r="AG13" s="20"/>
    </row>
    <row r="14" spans="1:33" ht="14.25" customHeight="1">
      <c r="A14" s="11" t="s">
        <v>10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5"/>
      <c r="N14" s="15"/>
      <c r="O14" s="13"/>
      <c r="P14" s="13">
        <v>1581</v>
      </c>
      <c r="Q14" s="13">
        <v>2502</v>
      </c>
      <c r="R14" s="14">
        <v>3041</v>
      </c>
      <c r="S14" s="14">
        <v>3305</v>
      </c>
      <c r="T14" s="21">
        <v>2917</v>
      </c>
      <c r="U14" s="21">
        <v>2418</v>
      </c>
      <c r="V14" s="14">
        <v>3202</v>
      </c>
      <c r="W14" s="14">
        <v>5344</v>
      </c>
      <c r="X14" s="14">
        <v>2392</v>
      </c>
      <c r="Y14" s="14">
        <v>2320.7</v>
      </c>
      <c r="Z14" s="14">
        <v>6863</v>
      </c>
      <c r="AA14" s="14">
        <v>4819</v>
      </c>
      <c r="AB14" s="14">
        <v>3777</v>
      </c>
      <c r="AC14" s="14">
        <v>4436</v>
      </c>
      <c r="AD14" s="14">
        <v>4142.3</v>
      </c>
      <c r="AE14" s="14">
        <v>6061</v>
      </c>
      <c r="AF14" s="20"/>
      <c r="AG14" s="20"/>
    </row>
    <row r="15" spans="1:33" s="10" customFormat="1" ht="14.25" customHeight="1">
      <c r="A15" s="8" t="s">
        <v>39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22"/>
      <c r="AG15" s="22"/>
    </row>
    <row r="16" spans="1:33" ht="13.5" customHeight="1">
      <c r="A16" s="11" t="s">
        <v>11</v>
      </c>
      <c r="B16" s="11"/>
      <c r="C16" s="11"/>
      <c r="D16" s="11"/>
      <c r="E16" s="11"/>
      <c r="F16" s="11"/>
      <c r="G16" s="11"/>
      <c r="H16" s="11"/>
      <c r="I16" s="11"/>
      <c r="J16" s="11">
        <f aca="true" t="shared" si="1" ref="J16:AB16">SUM(J17:J18)</f>
        <v>16564</v>
      </c>
      <c r="K16" s="11">
        <f t="shared" si="1"/>
        <v>17096</v>
      </c>
      <c r="L16" s="11">
        <f t="shared" si="1"/>
        <v>15292</v>
      </c>
      <c r="M16" s="11">
        <f t="shared" si="1"/>
        <v>20461</v>
      </c>
      <c r="N16" s="13">
        <f t="shared" si="1"/>
        <v>30602</v>
      </c>
      <c r="O16" s="13">
        <f t="shared" si="1"/>
        <v>37645</v>
      </c>
      <c r="P16" s="13">
        <f t="shared" si="1"/>
        <v>54487</v>
      </c>
      <c r="Q16" s="13">
        <f t="shared" si="1"/>
        <v>71090</v>
      </c>
      <c r="R16" s="14">
        <f t="shared" si="1"/>
        <v>84561</v>
      </c>
      <c r="S16" s="14">
        <f t="shared" si="1"/>
        <v>104190</v>
      </c>
      <c r="T16" s="14">
        <f t="shared" si="1"/>
        <v>123324</v>
      </c>
      <c r="U16" s="14">
        <f t="shared" si="1"/>
        <v>147999</v>
      </c>
      <c r="V16" s="14">
        <f t="shared" si="1"/>
        <v>173769</v>
      </c>
      <c r="W16" s="14">
        <f>SUM(W17:W18)</f>
        <v>197830</v>
      </c>
      <c r="X16" s="23">
        <f t="shared" si="1"/>
        <v>214825</v>
      </c>
      <c r="Y16" s="23">
        <f t="shared" si="1"/>
        <v>251518</v>
      </c>
      <c r="Z16" s="23">
        <f t="shared" si="1"/>
        <v>259953.55</v>
      </c>
      <c r="AA16" s="23">
        <f t="shared" si="1"/>
        <v>259625.45</v>
      </c>
      <c r="AB16" s="23">
        <f t="shared" si="1"/>
        <v>252677</v>
      </c>
      <c r="AC16" s="23">
        <v>257936.95</v>
      </c>
      <c r="AD16" s="23">
        <v>277814.75</v>
      </c>
      <c r="AE16" s="23">
        <v>314211</v>
      </c>
      <c r="AF16" s="20"/>
      <c r="AG16" s="20"/>
    </row>
    <row r="17" spans="1:33" ht="13.5" customHeight="1">
      <c r="A17" s="11" t="s">
        <v>12</v>
      </c>
      <c r="B17" s="11"/>
      <c r="C17" s="11"/>
      <c r="D17" s="11"/>
      <c r="E17" s="11"/>
      <c r="F17" s="11"/>
      <c r="G17" s="11"/>
      <c r="H17" s="11"/>
      <c r="I17" s="11"/>
      <c r="J17" s="11">
        <v>9795</v>
      </c>
      <c r="K17" s="11">
        <v>10469</v>
      </c>
      <c r="L17" s="11">
        <v>7756</v>
      </c>
      <c r="M17" s="11">
        <v>11488</v>
      </c>
      <c r="N17" s="13">
        <f>+'[2]Série DI'!$AC$16+'[2]Série DI'!$AC$27</f>
        <v>18219</v>
      </c>
      <c r="O17" s="15">
        <v>24545</v>
      </c>
      <c r="P17" s="15">
        <v>42086</v>
      </c>
      <c r="Q17" s="13">
        <v>58276</v>
      </c>
      <c r="R17" s="14">
        <v>72270</v>
      </c>
      <c r="S17" s="14">
        <v>94572</v>
      </c>
      <c r="T17" s="14">
        <v>116359</v>
      </c>
      <c r="U17" s="14">
        <v>143075</v>
      </c>
      <c r="V17" s="21">
        <v>169917</v>
      </c>
      <c r="W17" s="21">
        <v>197100</v>
      </c>
      <c r="X17" s="21">
        <v>214825</v>
      </c>
      <c r="Y17" s="21">
        <v>251518</v>
      </c>
      <c r="Z17" s="21">
        <v>259953.55</v>
      </c>
      <c r="AA17" s="21">
        <v>259625.45</v>
      </c>
      <c r="AB17" s="21">
        <v>252677</v>
      </c>
      <c r="AC17" s="21">
        <v>257936.95</v>
      </c>
      <c r="AD17" s="21">
        <v>277814.75</v>
      </c>
      <c r="AE17" s="21">
        <v>314211</v>
      </c>
      <c r="AF17" s="24"/>
      <c r="AG17" s="19"/>
    </row>
    <row r="18" spans="1:33" ht="13.5" customHeight="1">
      <c r="A18" s="11" t="s">
        <v>13</v>
      </c>
      <c r="B18" s="11"/>
      <c r="C18" s="11"/>
      <c r="D18" s="11"/>
      <c r="E18" s="11"/>
      <c r="F18" s="11"/>
      <c r="G18" s="11"/>
      <c r="H18" s="11"/>
      <c r="I18" s="11"/>
      <c r="J18" s="11">
        <f>205+826+1343+4395</f>
        <v>6769</v>
      </c>
      <c r="K18" s="11">
        <f>496+521+1144+4466</f>
        <v>6627</v>
      </c>
      <c r="L18" s="11">
        <f>911+419+1009+5197</f>
        <v>7536</v>
      </c>
      <c r="M18" s="11">
        <v>8973</v>
      </c>
      <c r="N18" s="13">
        <v>12383</v>
      </c>
      <c r="O18" s="15">
        <f>9719+1904+1477</f>
        <v>13100</v>
      </c>
      <c r="P18" s="13">
        <v>12401</v>
      </c>
      <c r="Q18" s="13">
        <v>12814</v>
      </c>
      <c r="R18" s="14">
        <v>12291</v>
      </c>
      <c r="S18" s="14">
        <v>9618</v>
      </c>
      <c r="T18" s="14">
        <v>6965</v>
      </c>
      <c r="U18" s="14">
        <v>4924</v>
      </c>
      <c r="V18" s="21">
        <v>3852</v>
      </c>
      <c r="W18" s="21">
        <v>730</v>
      </c>
      <c r="X18" s="18" t="s">
        <v>5</v>
      </c>
      <c r="Y18" s="18" t="s">
        <v>5</v>
      </c>
      <c r="Z18" s="18" t="s">
        <v>5</v>
      </c>
      <c r="AA18" s="18" t="s">
        <v>5</v>
      </c>
      <c r="AB18" s="18" t="s">
        <v>5</v>
      </c>
      <c r="AC18" s="18" t="s">
        <v>14</v>
      </c>
      <c r="AD18" s="18" t="s">
        <v>14</v>
      </c>
      <c r="AE18" s="18" t="s">
        <v>14</v>
      </c>
      <c r="AF18" s="19"/>
      <c r="AG18" s="19"/>
    </row>
    <row r="19" spans="1:33" ht="13.5" customHeight="1">
      <c r="A19" s="25" t="s">
        <v>15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>
        <f>SUM(P20:P22)</f>
        <v>1773.5</v>
      </c>
      <c r="Q19" s="26">
        <f>SUM(Q20:Q22)</f>
        <v>4945.25</v>
      </c>
      <c r="R19" s="27">
        <f>SUM(R20:R22)</f>
        <v>8027.25</v>
      </c>
      <c r="S19" s="27">
        <f aca="true" t="shared" si="2" ref="S19:AD19">+S20+S21+S22</f>
        <v>10429</v>
      </c>
      <c r="T19" s="27">
        <f t="shared" si="2"/>
        <v>10555</v>
      </c>
      <c r="U19" s="27">
        <f t="shared" si="2"/>
        <v>3637.15</v>
      </c>
      <c r="V19" s="27">
        <f t="shared" si="2"/>
        <v>4010.1000400000003</v>
      </c>
      <c r="W19" s="27">
        <f t="shared" si="2"/>
        <v>2945.9</v>
      </c>
      <c r="X19" s="27">
        <f t="shared" si="2"/>
        <v>5966.1</v>
      </c>
      <c r="Y19" s="27">
        <f t="shared" si="2"/>
        <v>5914.60004</v>
      </c>
      <c r="Z19" s="27">
        <f t="shared" si="2"/>
        <v>5999.9</v>
      </c>
      <c r="AA19" s="27">
        <f t="shared" si="2"/>
        <v>16947.701</v>
      </c>
      <c r="AB19" s="27">
        <f t="shared" si="2"/>
        <v>38710.197</v>
      </c>
      <c r="AC19" s="27">
        <f t="shared" si="2"/>
        <v>26969.8</v>
      </c>
      <c r="AD19" s="27">
        <f t="shared" si="2"/>
        <v>52201.8</v>
      </c>
      <c r="AE19" s="27">
        <f>+AE20+AE21+AE22</f>
        <v>57563.1997</v>
      </c>
      <c r="AF19" s="19"/>
      <c r="AG19" s="20"/>
    </row>
    <row r="20" spans="1:33" ht="13.5" customHeight="1">
      <c r="A20" s="28" t="s">
        <v>16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5">
        <f>115+500</f>
        <v>615</v>
      </c>
      <c r="Q20" s="13">
        <v>3021.25</v>
      </c>
      <c r="R20" s="14">
        <v>4807.5</v>
      </c>
      <c r="S20" s="14">
        <v>5813.25</v>
      </c>
      <c r="T20" s="14">
        <v>5595.75</v>
      </c>
      <c r="U20" s="14">
        <v>1462.9</v>
      </c>
      <c r="V20" s="21">
        <v>668.10004</v>
      </c>
      <c r="W20" s="21">
        <v>195.4</v>
      </c>
      <c r="X20" s="21">
        <v>275</v>
      </c>
      <c r="Y20" s="21">
        <v>536.60004</v>
      </c>
      <c r="Z20" s="21">
        <v>3508.4</v>
      </c>
      <c r="AA20" s="21">
        <v>14635.201</v>
      </c>
      <c r="AB20" s="21">
        <v>30064.197</v>
      </c>
      <c r="AC20" s="21">
        <v>18440.8</v>
      </c>
      <c r="AD20" s="21">
        <v>42708.8</v>
      </c>
      <c r="AE20" s="21">
        <v>43962.5</v>
      </c>
      <c r="AF20" s="19"/>
      <c r="AG20" s="19"/>
    </row>
    <row r="21" spans="1:33" ht="13.5" customHeight="1">
      <c r="A21" s="28" t="s">
        <v>17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3">
        <f>110+1010+38.5</f>
        <v>1158.5</v>
      </c>
      <c r="Q21" s="13">
        <v>1854</v>
      </c>
      <c r="R21" s="14">
        <v>3139.75</v>
      </c>
      <c r="S21" s="14">
        <v>4595.75</v>
      </c>
      <c r="T21" s="14">
        <v>4959.25</v>
      </c>
      <c r="U21" s="14">
        <v>2149.25</v>
      </c>
      <c r="V21" s="21">
        <v>2088.5</v>
      </c>
      <c r="W21" s="21">
        <v>2108.5</v>
      </c>
      <c r="X21" s="21">
        <v>1307.1</v>
      </c>
      <c r="Y21" s="21">
        <v>1470.5</v>
      </c>
      <c r="Z21" s="21">
        <v>1192</v>
      </c>
      <c r="AA21" s="21">
        <v>409</v>
      </c>
      <c r="AB21" s="21">
        <v>981</v>
      </c>
      <c r="AC21" s="21">
        <v>5675</v>
      </c>
      <c r="AD21" s="21">
        <v>6050</v>
      </c>
      <c r="AE21" s="21">
        <v>7649.1997</v>
      </c>
      <c r="AF21" s="19"/>
      <c r="AG21" s="19"/>
    </row>
    <row r="22" spans="1:33" ht="13.5" customHeight="1">
      <c r="A22" s="28" t="s">
        <v>18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3">
        <v>70</v>
      </c>
      <c r="R22" s="14">
        <v>80</v>
      </c>
      <c r="S22" s="14">
        <v>20</v>
      </c>
      <c r="T22" s="14">
        <v>0</v>
      </c>
      <c r="U22" s="14">
        <v>25</v>
      </c>
      <c r="V22" s="21">
        <v>1253.5</v>
      </c>
      <c r="W22" s="21">
        <v>642</v>
      </c>
      <c r="X22" s="21">
        <v>4384</v>
      </c>
      <c r="Y22" s="21">
        <v>3907.5</v>
      </c>
      <c r="Z22" s="21">
        <v>1299.5</v>
      </c>
      <c r="AA22" s="21">
        <v>1903.5</v>
      </c>
      <c r="AB22" s="21">
        <v>7665</v>
      </c>
      <c r="AC22" s="21">
        <v>2854</v>
      </c>
      <c r="AD22" s="21">
        <v>3443</v>
      </c>
      <c r="AE22" s="21">
        <v>5951.5</v>
      </c>
      <c r="AF22" s="19"/>
      <c r="AG22" s="19"/>
    </row>
    <row r="23" spans="1:33" ht="14.25" customHeight="1">
      <c r="A23" s="6" t="s">
        <v>41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29"/>
      <c r="AG23" s="29"/>
    </row>
    <row r="24" spans="1:33" ht="15.75" customHeight="1">
      <c r="A24" s="11" t="s">
        <v>19</v>
      </c>
      <c r="B24" s="11">
        <f aca="true" t="shared" si="3" ref="B24:K24">B26+B28</f>
        <v>892</v>
      </c>
      <c r="C24" s="11">
        <f t="shared" si="3"/>
        <v>1717</v>
      </c>
      <c r="D24" s="11">
        <f t="shared" si="3"/>
        <v>1788</v>
      </c>
      <c r="E24" s="11">
        <f t="shared" si="3"/>
        <v>2013</v>
      </c>
      <c r="F24" s="11">
        <f t="shared" si="3"/>
        <v>2051</v>
      </c>
      <c r="G24" s="11">
        <f t="shared" si="3"/>
        <v>2906</v>
      </c>
      <c r="H24" s="11">
        <f t="shared" si="3"/>
        <v>3145</v>
      </c>
      <c r="I24" s="11">
        <f t="shared" si="3"/>
        <v>4485</v>
      </c>
      <c r="J24" s="15">
        <f t="shared" si="3"/>
        <v>3732</v>
      </c>
      <c r="K24" s="15">
        <f t="shared" si="3"/>
        <v>3048</v>
      </c>
      <c r="L24" s="15">
        <f>L26+L28+103</f>
        <v>3311</v>
      </c>
      <c r="M24" s="15">
        <f>300+1507+555+600+328</f>
        <v>3290</v>
      </c>
      <c r="N24" s="15">
        <f>N26+N28+191</f>
        <v>2661</v>
      </c>
      <c r="O24" s="15">
        <f>O26+O28</f>
        <v>2503</v>
      </c>
      <c r="P24" s="15">
        <v>1900</v>
      </c>
      <c r="Q24" s="15">
        <v>1147</v>
      </c>
      <c r="R24" s="14">
        <v>1538</v>
      </c>
      <c r="S24" s="14">
        <v>1479</v>
      </c>
      <c r="T24" s="14">
        <v>846</v>
      </c>
      <c r="U24" s="14">
        <v>1600</v>
      </c>
      <c r="V24" s="21">
        <v>3800</v>
      </c>
      <c r="W24" s="21">
        <v>4202</v>
      </c>
      <c r="X24" s="21">
        <v>5680</v>
      </c>
      <c r="Y24" s="21">
        <v>3185</v>
      </c>
      <c r="Z24" s="21">
        <v>4130</v>
      </c>
      <c r="AA24" s="21">
        <v>3265</v>
      </c>
      <c r="AB24" s="21">
        <v>7600</v>
      </c>
      <c r="AC24" s="21">
        <v>18800</v>
      </c>
      <c r="AD24" s="21">
        <v>25636.2</v>
      </c>
      <c r="AE24" s="21">
        <v>12360</v>
      </c>
      <c r="AF24" s="19"/>
      <c r="AG24" s="30"/>
    </row>
    <row r="25" spans="1:33" ht="15.75" customHeight="1">
      <c r="A25" s="11" t="s">
        <v>2</v>
      </c>
      <c r="B25" s="31">
        <f>((B24/1317)-1)*100</f>
        <v>-32.27031131359149</v>
      </c>
      <c r="C25" s="31">
        <f aca="true" t="shared" si="4" ref="C25:Q25">((C24/B24)-1)*100</f>
        <v>92.48878923766817</v>
      </c>
      <c r="D25" s="31">
        <f t="shared" si="4"/>
        <v>4.135119394292364</v>
      </c>
      <c r="E25" s="31">
        <f t="shared" si="4"/>
        <v>12.583892617449655</v>
      </c>
      <c r="F25" s="31">
        <f t="shared" si="4"/>
        <v>1.8877297565822238</v>
      </c>
      <c r="G25" s="31">
        <f t="shared" si="4"/>
        <v>41.686981960019494</v>
      </c>
      <c r="H25" s="31">
        <f t="shared" si="4"/>
        <v>8.224363386097732</v>
      </c>
      <c r="I25" s="31">
        <f t="shared" si="4"/>
        <v>42.60731319554849</v>
      </c>
      <c r="J25" s="32">
        <f t="shared" si="4"/>
        <v>-16.78929765886288</v>
      </c>
      <c r="K25" s="32">
        <f t="shared" si="4"/>
        <v>-18.327974276527325</v>
      </c>
      <c r="L25" s="32">
        <f t="shared" si="4"/>
        <v>8.628608923884507</v>
      </c>
      <c r="M25" s="32">
        <f t="shared" si="4"/>
        <v>-0.6342494714587699</v>
      </c>
      <c r="N25" s="32">
        <f t="shared" si="4"/>
        <v>-19.118541033434656</v>
      </c>
      <c r="O25" s="32">
        <f t="shared" si="4"/>
        <v>-5.937617437053744</v>
      </c>
      <c r="P25" s="32">
        <f t="shared" si="4"/>
        <v>-24.091090691170592</v>
      </c>
      <c r="Q25" s="32">
        <f t="shared" si="4"/>
        <v>-39.63157894736842</v>
      </c>
      <c r="R25" s="33">
        <f>((R24/Q24)-1)</f>
        <v>0.34088927637314725</v>
      </c>
      <c r="S25" s="33">
        <f aca="true" t="shared" si="5" ref="S25:Z25">((S24/R24)-1)</f>
        <v>-0.03836150845253572</v>
      </c>
      <c r="T25" s="33">
        <f t="shared" si="5"/>
        <v>-0.4279918864097363</v>
      </c>
      <c r="U25" s="33">
        <f t="shared" si="5"/>
        <v>0.8912529550827424</v>
      </c>
      <c r="V25" s="33">
        <f t="shared" si="5"/>
        <v>1.375</v>
      </c>
      <c r="W25" s="33">
        <f t="shared" si="5"/>
        <v>0.10578947368421043</v>
      </c>
      <c r="X25" s="33">
        <f t="shared" si="5"/>
        <v>0.3517372679676345</v>
      </c>
      <c r="Y25" s="33">
        <f t="shared" si="5"/>
        <v>-0.43926056338028174</v>
      </c>
      <c r="Z25" s="33">
        <f t="shared" si="5"/>
        <v>0.29670329670329676</v>
      </c>
      <c r="AA25" s="34">
        <f>AA24/Z24-1</f>
        <v>-0.2094430992736077</v>
      </c>
      <c r="AB25" s="34">
        <f>AB24/AA24-1</f>
        <v>1.327718223583461</v>
      </c>
      <c r="AC25" s="34">
        <f>AC24/AB24-1</f>
        <v>1.473684210526316</v>
      </c>
      <c r="AD25" s="34">
        <f>AD24/AC24-1</f>
        <v>0.3636276595744681</v>
      </c>
      <c r="AE25" s="34">
        <f>AE24/AD24-1</f>
        <v>-0.5178692629952957</v>
      </c>
      <c r="AF25" s="35"/>
      <c r="AG25" s="35"/>
    </row>
    <row r="26" spans="1:31" ht="15.75" customHeight="1" hidden="1">
      <c r="A26" s="11" t="s">
        <v>20</v>
      </c>
      <c r="B26" s="11">
        <v>892</v>
      </c>
      <c r="C26" s="11">
        <v>1717</v>
      </c>
      <c r="D26" s="11">
        <v>1788</v>
      </c>
      <c r="E26" s="11">
        <v>2013</v>
      </c>
      <c r="F26" s="11">
        <v>2051</v>
      </c>
      <c r="G26" s="11">
        <v>2906</v>
      </c>
      <c r="H26" s="11">
        <v>3145</v>
      </c>
      <c r="I26" s="11">
        <v>4485</v>
      </c>
      <c r="J26" s="15">
        <v>3732</v>
      </c>
      <c r="K26" s="15">
        <v>3048</v>
      </c>
      <c r="L26" s="15">
        <v>3208</v>
      </c>
      <c r="M26" s="15">
        <v>3290</v>
      </c>
      <c r="N26" s="15">
        <v>2470</v>
      </c>
      <c r="O26" s="15">
        <v>2503</v>
      </c>
      <c r="P26" s="15">
        <v>1874</v>
      </c>
      <c r="Q26" s="15">
        <v>787</v>
      </c>
      <c r="R26" s="15">
        <v>425</v>
      </c>
      <c r="S26" s="15"/>
      <c r="T26" s="15"/>
      <c r="U26" s="15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2" ht="15.75" customHeight="1" hidden="1">
      <c r="A27" s="11" t="s">
        <v>2</v>
      </c>
      <c r="B27" s="31">
        <f>((B26/868)-1)*100</f>
        <v>2.764976958525356</v>
      </c>
      <c r="C27" s="31">
        <f aca="true" t="shared" si="6" ref="C27:Q27">((C26/B26)-1)*100</f>
        <v>92.48878923766817</v>
      </c>
      <c r="D27" s="31">
        <f t="shared" si="6"/>
        <v>4.135119394292364</v>
      </c>
      <c r="E27" s="31">
        <f t="shared" si="6"/>
        <v>12.583892617449655</v>
      </c>
      <c r="F27" s="31">
        <f t="shared" si="6"/>
        <v>1.8877297565822238</v>
      </c>
      <c r="G27" s="31">
        <f t="shared" si="6"/>
        <v>41.686981960019494</v>
      </c>
      <c r="H27" s="31">
        <f t="shared" si="6"/>
        <v>8.224363386097732</v>
      </c>
      <c r="I27" s="31">
        <f t="shared" si="6"/>
        <v>42.60731319554849</v>
      </c>
      <c r="J27" s="32">
        <f t="shared" si="6"/>
        <v>-16.78929765886288</v>
      </c>
      <c r="K27" s="32">
        <f t="shared" si="6"/>
        <v>-18.327974276527325</v>
      </c>
      <c r="L27" s="32">
        <f t="shared" si="6"/>
        <v>5.249343832021003</v>
      </c>
      <c r="M27" s="32">
        <f t="shared" si="6"/>
        <v>2.5561097256857845</v>
      </c>
      <c r="N27" s="32">
        <f t="shared" si="6"/>
        <v>-24.92401215805471</v>
      </c>
      <c r="O27" s="32">
        <f t="shared" si="6"/>
        <v>1.3360323886639769</v>
      </c>
      <c r="P27" s="32">
        <f t="shared" si="6"/>
        <v>-25.129844186975625</v>
      </c>
      <c r="Q27" s="32">
        <f t="shared" si="6"/>
        <v>-58.0042689434365</v>
      </c>
      <c r="R27" s="32"/>
      <c r="S27" s="32"/>
      <c r="T27" s="32"/>
      <c r="U27" s="32"/>
      <c r="V27" s="37"/>
      <c r="W27" s="37"/>
      <c r="X27" s="36"/>
      <c r="Y27" s="36"/>
      <c r="Z27" s="36"/>
      <c r="AA27" s="36"/>
      <c r="AB27" s="36"/>
      <c r="AC27" s="36"/>
      <c r="AD27" s="36"/>
      <c r="AE27" s="36"/>
      <c r="AF27" s="19"/>
    </row>
    <row r="28" spans="1:32" ht="15.75" customHeight="1" hidden="1">
      <c r="A28" s="38" t="s">
        <v>21</v>
      </c>
      <c r="B28" s="38"/>
      <c r="C28" s="38"/>
      <c r="D28" s="38"/>
      <c r="E28" s="38"/>
      <c r="F28" s="38"/>
      <c r="G28" s="38"/>
      <c r="H28" s="38"/>
      <c r="I28" s="38"/>
      <c r="J28" s="39"/>
      <c r="K28" s="39"/>
      <c r="L28" s="39"/>
      <c r="M28" s="39"/>
      <c r="N28" s="39"/>
      <c r="O28" s="39"/>
      <c r="P28" s="39"/>
      <c r="Q28" s="39">
        <v>44</v>
      </c>
      <c r="R28" s="39">
        <v>230</v>
      </c>
      <c r="S28" s="39"/>
      <c r="T28" s="39"/>
      <c r="U28" s="39"/>
      <c r="V28" s="40"/>
      <c r="W28" s="40"/>
      <c r="X28" s="36"/>
      <c r="Y28" s="36"/>
      <c r="Z28" s="36"/>
      <c r="AA28" s="36"/>
      <c r="AB28" s="36"/>
      <c r="AC28" s="36"/>
      <c r="AD28" s="36"/>
      <c r="AE28" s="36"/>
      <c r="AF28" s="35"/>
    </row>
    <row r="29" spans="1:31" ht="15.75" customHeight="1" hidden="1">
      <c r="A29" s="38" t="s">
        <v>2</v>
      </c>
      <c r="B29" s="41"/>
      <c r="C29" s="41"/>
      <c r="D29" s="41"/>
      <c r="E29" s="41"/>
      <c r="F29" s="41"/>
      <c r="G29" s="41"/>
      <c r="H29" s="41"/>
      <c r="I29" s="41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3"/>
      <c r="W29" s="43"/>
      <c r="X29" s="36"/>
      <c r="Y29" s="36"/>
      <c r="Z29" s="36"/>
      <c r="AA29" s="36"/>
      <c r="AB29" s="36"/>
      <c r="AC29" s="36"/>
      <c r="AD29" s="36"/>
      <c r="AE29" s="36"/>
    </row>
    <row r="30" spans="1:31" ht="15.75" customHeight="1" hidden="1">
      <c r="A30" s="38" t="s">
        <v>22</v>
      </c>
      <c r="B30" s="38"/>
      <c r="C30" s="38">
        <v>841</v>
      </c>
      <c r="D30" s="38">
        <v>905</v>
      </c>
      <c r="E30" s="38">
        <v>943</v>
      </c>
      <c r="F30" s="38">
        <v>1017</v>
      </c>
      <c r="G30" s="38">
        <v>1256</v>
      </c>
      <c r="H30" s="38">
        <v>1645</v>
      </c>
      <c r="I30" s="38">
        <v>2734</v>
      </c>
      <c r="J30" s="39">
        <v>2281</v>
      </c>
      <c r="K30" s="39">
        <v>883</v>
      </c>
      <c r="L30" s="44"/>
      <c r="M30" s="42"/>
      <c r="N30" s="42"/>
      <c r="O30" s="42"/>
      <c r="P30" s="42"/>
      <c r="Q30" s="39"/>
      <c r="R30" s="39"/>
      <c r="S30" s="39"/>
      <c r="T30" s="39"/>
      <c r="U30" s="39"/>
      <c r="V30" s="40"/>
      <c r="W30" s="40"/>
      <c r="X30" s="36"/>
      <c r="Y30" s="36"/>
      <c r="Z30" s="36"/>
      <c r="AA30" s="36"/>
      <c r="AB30" s="36"/>
      <c r="AC30" s="36"/>
      <c r="AD30" s="36"/>
      <c r="AE30" s="36"/>
    </row>
    <row r="31" spans="1:33" ht="13.5" customHeight="1">
      <c r="A31" s="6" t="s">
        <v>42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29"/>
      <c r="AG31" s="29"/>
    </row>
    <row r="32" spans="1:33" ht="12.75" customHeight="1">
      <c r="A32" s="45" t="s">
        <v>23</v>
      </c>
      <c r="B32" s="45"/>
      <c r="C32" s="45">
        <v>147</v>
      </c>
      <c r="D32" s="45">
        <v>152</v>
      </c>
      <c r="E32" s="45">
        <v>224</v>
      </c>
      <c r="F32" s="46">
        <v>316</v>
      </c>
      <c r="G32" s="46">
        <v>396</v>
      </c>
      <c r="H32" s="46">
        <v>654</v>
      </c>
      <c r="I32" s="46">
        <v>672</v>
      </c>
      <c r="J32" s="47">
        <v>1806</v>
      </c>
      <c r="K32" s="47">
        <v>1156</v>
      </c>
      <c r="L32" s="47">
        <v>1053</v>
      </c>
      <c r="M32" s="47">
        <v>4870</v>
      </c>
      <c r="N32" s="47">
        <v>8647</v>
      </c>
      <c r="O32" s="47">
        <v>23200</v>
      </c>
      <c r="P32" s="47">
        <v>20214</v>
      </c>
      <c r="Q32" s="48">
        <v>32335</v>
      </c>
      <c r="R32" s="49">
        <v>58174</v>
      </c>
      <c r="S32" s="49">
        <v>95070</v>
      </c>
      <c r="T32" s="49">
        <v>38460</v>
      </c>
      <c r="U32" s="49">
        <v>25275</v>
      </c>
      <c r="V32" s="49">
        <v>22458.48</v>
      </c>
      <c r="W32" s="49">
        <v>53695</v>
      </c>
      <c r="X32" s="49">
        <v>71763</v>
      </c>
      <c r="Y32" s="49">
        <v>148517</v>
      </c>
      <c r="Z32" s="49">
        <v>166421</v>
      </c>
      <c r="AA32" s="49">
        <v>359779</v>
      </c>
      <c r="AB32" s="49">
        <v>244164.1</v>
      </c>
      <c r="AC32" s="49">
        <v>144420.5</v>
      </c>
      <c r="AD32" s="49">
        <v>119822.55</v>
      </c>
      <c r="AE32" s="49">
        <v>103367.9</v>
      </c>
      <c r="AF32" s="50"/>
      <c r="AG32" s="50"/>
    </row>
    <row r="33" spans="1:33" ht="12.75" customHeight="1">
      <c r="A33" s="38" t="s">
        <v>1</v>
      </c>
      <c r="B33" s="38"/>
      <c r="C33" s="41"/>
      <c r="D33" s="41">
        <f aca="true" t="shared" si="7" ref="D33:Q33">((D32/C32)-1)*100</f>
        <v>3.401360544217691</v>
      </c>
      <c r="E33" s="41">
        <f t="shared" si="7"/>
        <v>47.36842105263157</v>
      </c>
      <c r="F33" s="41">
        <f t="shared" si="7"/>
        <v>41.071428571428584</v>
      </c>
      <c r="G33" s="41">
        <f t="shared" si="7"/>
        <v>25.31645569620253</v>
      </c>
      <c r="H33" s="41">
        <f t="shared" si="7"/>
        <v>65.15151515151516</v>
      </c>
      <c r="I33" s="41">
        <f t="shared" si="7"/>
        <v>2.752293577981657</v>
      </c>
      <c r="J33" s="42">
        <f t="shared" si="7"/>
        <v>168.75</v>
      </c>
      <c r="K33" s="42">
        <f t="shared" si="7"/>
        <v>-35.991140642303435</v>
      </c>
      <c r="L33" s="42">
        <f t="shared" si="7"/>
        <v>-8.910034602076122</v>
      </c>
      <c r="M33" s="42">
        <f t="shared" si="7"/>
        <v>362.48812915479584</v>
      </c>
      <c r="N33" s="42">
        <f t="shared" si="7"/>
        <v>77.5564681724846</v>
      </c>
      <c r="O33" s="42">
        <f t="shared" si="7"/>
        <v>168.30114490574766</v>
      </c>
      <c r="P33" s="42">
        <f t="shared" si="7"/>
        <v>-12.870689655172418</v>
      </c>
      <c r="Q33" s="42">
        <f t="shared" si="7"/>
        <v>59.96339170871674</v>
      </c>
      <c r="R33" s="51">
        <f>((R32/Q32)-1)</f>
        <v>0.7991031390134529</v>
      </c>
      <c r="S33" s="51">
        <f aca="true" t="shared" si="8" ref="S33:AE33">((S32/R32)-1)</f>
        <v>0.6342352253584076</v>
      </c>
      <c r="T33" s="51">
        <f t="shared" si="8"/>
        <v>-0.5954559798043546</v>
      </c>
      <c r="U33" s="51">
        <f t="shared" si="8"/>
        <v>-0.342823712948518</v>
      </c>
      <c r="V33" s="51">
        <f t="shared" si="8"/>
        <v>-0.1114350148367953</v>
      </c>
      <c r="W33" s="51">
        <f t="shared" si="8"/>
        <v>1.3908563714018047</v>
      </c>
      <c r="X33" s="51">
        <f t="shared" si="8"/>
        <v>0.3364931557873172</v>
      </c>
      <c r="Y33" s="51">
        <f t="shared" si="8"/>
        <v>1.0695483745105419</v>
      </c>
      <c r="Z33" s="51">
        <f t="shared" si="8"/>
        <v>0.12055185601648288</v>
      </c>
      <c r="AA33" s="51">
        <f t="shared" si="8"/>
        <v>1.161860582498603</v>
      </c>
      <c r="AB33" s="51">
        <f t="shared" si="8"/>
        <v>-0.32134977305512546</v>
      </c>
      <c r="AC33" s="51">
        <f t="shared" si="8"/>
        <v>-0.4085105058442253</v>
      </c>
      <c r="AD33" s="51">
        <f t="shared" si="8"/>
        <v>-0.17032173410284546</v>
      </c>
      <c r="AE33" s="51">
        <f t="shared" si="8"/>
        <v>-0.13732515290318903</v>
      </c>
      <c r="AF33" s="52"/>
      <c r="AG33" s="52"/>
    </row>
    <row r="34" spans="1:33" ht="12.75" customHeight="1">
      <c r="A34" s="38" t="s">
        <v>24</v>
      </c>
      <c r="B34" s="38">
        <v>1827</v>
      </c>
      <c r="C34" s="38">
        <v>2039</v>
      </c>
      <c r="D34" s="38">
        <v>2252</v>
      </c>
      <c r="E34" s="38">
        <v>2450</v>
      </c>
      <c r="F34" s="38">
        <v>2430</v>
      </c>
      <c r="G34" s="38">
        <v>2783</v>
      </c>
      <c r="H34" s="38">
        <v>3604</v>
      </c>
      <c r="I34" s="38">
        <v>5043</v>
      </c>
      <c r="J34" s="39">
        <v>7768</v>
      </c>
      <c r="K34" s="39">
        <v>12449</v>
      </c>
      <c r="L34" s="39">
        <v>16975</v>
      </c>
      <c r="M34" s="39">
        <v>25990</v>
      </c>
      <c r="N34" s="39">
        <v>39830</v>
      </c>
      <c r="O34" s="39">
        <v>50401</v>
      </c>
      <c r="P34" s="39">
        <v>75580</v>
      </c>
      <c r="Q34" s="39">
        <v>118620</v>
      </c>
      <c r="R34" s="53">
        <v>145147</v>
      </c>
      <c r="S34" s="53">
        <v>138051</v>
      </c>
      <c r="T34" s="53">
        <v>114881</v>
      </c>
      <c r="U34" s="53">
        <v>104740</v>
      </c>
      <c r="V34" s="53">
        <v>87175</v>
      </c>
      <c r="W34" s="53">
        <v>115507</v>
      </c>
      <c r="X34" s="53">
        <v>206517</v>
      </c>
      <c r="Y34" s="53">
        <v>252326</v>
      </c>
      <c r="Z34" s="53">
        <v>417092</v>
      </c>
      <c r="AA34" s="53">
        <v>586328</v>
      </c>
      <c r="AB34" s="53">
        <v>531749.7</v>
      </c>
      <c r="AC34" s="53">
        <v>508892.1</v>
      </c>
      <c r="AD34" s="53">
        <v>579019.3709999999</v>
      </c>
      <c r="AE34" s="53">
        <v>516222.29</v>
      </c>
      <c r="AF34" s="54"/>
      <c r="AG34" s="54"/>
    </row>
    <row r="35" spans="1:33" ht="12.75" customHeight="1">
      <c r="A35" s="38" t="s">
        <v>0</v>
      </c>
      <c r="B35" s="41">
        <f>(B34/'[3]Prod'!B26)*100</f>
        <v>1.9666786296415821</v>
      </c>
      <c r="C35" s="41">
        <f>(C34/'[3]Prod'!C26)*100</f>
        <v>2.056631501865493</v>
      </c>
      <c r="D35" s="41">
        <f>(D34/'[3]Prod'!D26)*100</f>
        <v>2.0045413721495144</v>
      </c>
      <c r="E35" s="41">
        <f>(E34/'[3]Prod'!E26)*100</f>
        <v>1.8917910937563946</v>
      </c>
      <c r="F35" s="41">
        <f>(F34/'[3]Prod'!F26)*100</f>
        <v>1.5744868339207962</v>
      </c>
      <c r="G35" s="41">
        <f>(G34/'[3]Prod'!G26)*100</f>
        <v>1.7761297857539458</v>
      </c>
      <c r="H35" s="41">
        <f>(H34/'[3]Prod'!H26)*100</f>
        <v>1.9777204631509633</v>
      </c>
      <c r="I35" s="41">
        <f>(I34/'[3]Prod'!I26)*100</f>
        <v>2.6004107648652175</v>
      </c>
      <c r="J35" s="42">
        <f>(J34/'[3]Prod'!J26)*100</f>
        <v>3.6499814399759427</v>
      </c>
      <c r="K35" s="42">
        <f>(K34/'[3]Prod'!K26)*100</f>
        <v>5.136573692028387</v>
      </c>
      <c r="L35" s="42">
        <f>(L34/'[3]Prod'!L26)*100</f>
        <v>6.988127387695956</v>
      </c>
      <c r="M35" s="42" t="e">
        <f>(M34/'[3]Prod'!#REF!)*100</f>
        <v>#REF!</v>
      </c>
      <c r="N35" s="42" t="e">
        <f>(N34/'[3]Prod'!#REF!)*100</f>
        <v>#REF!</v>
      </c>
      <c r="O35" s="42" t="e">
        <f>(O34/'[3]Prod'!#REF!)*100</f>
        <v>#REF!</v>
      </c>
      <c r="P35" s="42" t="e">
        <f>(P34/'[3]Prod'!#REF!)*100</f>
        <v>#REF!</v>
      </c>
      <c r="Q35" s="42" t="e">
        <f>(Q34/'[3]Prod'!#REF!)*100</f>
        <v>#REF!</v>
      </c>
      <c r="R35" s="51">
        <f>(R34/'[3]Prod'!M26)</f>
        <v>0.377608387424067</v>
      </c>
      <c r="S35" s="51">
        <f>S34/'[4]Prod'!N23</f>
        <v>0.3543685457518437</v>
      </c>
      <c r="T35" s="51">
        <f>T34/'[4]Prod'!O23</f>
        <v>0.2920349483071119</v>
      </c>
      <c r="U35" s="51">
        <f>U34/'[4]Prod'!P23</f>
        <v>0.24563674654434078</v>
      </c>
      <c r="V35" s="51">
        <f>V34/'[4]Prod'!Q23</f>
        <v>0.1957115211056382</v>
      </c>
      <c r="W35" s="51">
        <f>W34/'[4]Prod'!R23</f>
        <v>0.242142379475956</v>
      </c>
      <c r="X35" s="51">
        <f>X34/'[4]Prod'!S23</f>
        <v>0.4089324079482788</v>
      </c>
      <c r="Y35" s="51">
        <f>Y34/'[4]Prod'!T23</f>
        <v>0.47818086374481455</v>
      </c>
      <c r="Z35" s="51">
        <f>Z34/'[4]Prod'!U23</f>
        <v>0.7224323800022171</v>
      </c>
      <c r="AA35" s="51">
        <f>AA34/'[4]Prod'!V23</f>
        <v>0.9514388547579408</v>
      </c>
      <c r="AB35" s="51">
        <f>AB34/'[4]Prod'!W23</f>
        <v>0.7719461473804625</v>
      </c>
      <c r="AC35" s="51">
        <f>AC34/'[4]Prod'!X23</f>
        <v>0.6947816161944381</v>
      </c>
      <c r="AD35" s="51">
        <f>AD34/'[4]Prod'!Y23</f>
        <v>0.7578489993848408</v>
      </c>
      <c r="AE35" s="51">
        <f>AE34/'[4]Prod'!Z23</f>
        <v>0.643181893504542</v>
      </c>
      <c r="AF35" s="52"/>
      <c r="AG35" s="52"/>
    </row>
    <row r="36" spans="1:33" ht="12.75" customHeight="1">
      <c r="A36" s="38" t="s">
        <v>25</v>
      </c>
      <c r="B36" s="38"/>
      <c r="C36" s="38"/>
      <c r="D36" s="38"/>
      <c r="E36" s="38"/>
      <c r="F36" s="55"/>
      <c r="G36" s="55"/>
      <c r="H36" s="55"/>
      <c r="I36" s="55">
        <v>122.65</v>
      </c>
      <c r="J36" s="44">
        <v>157.49</v>
      </c>
      <c r="K36" s="44">
        <v>181.09</v>
      </c>
      <c r="L36" s="44">
        <v>201.88</v>
      </c>
      <c r="M36" s="44">
        <v>259.78</v>
      </c>
      <c r="N36" s="44">
        <v>342.33</v>
      </c>
      <c r="O36" s="44">
        <v>342.39</v>
      </c>
      <c r="P36" s="44">
        <v>447.13</v>
      </c>
      <c r="Q36" s="39">
        <v>667.52</v>
      </c>
      <c r="R36" s="56">
        <v>-1.2</v>
      </c>
      <c r="S36" s="56">
        <v>-0.03</v>
      </c>
      <c r="T36" s="56">
        <v>-0.85</v>
      </c>
      <c r="U36" s="56">
        <v>-0.07</v>
      </c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4"/>
      <c r="AG36" s="54"/>
    </row>
    <row r="37" spans="1:31" s="62" customFormat="1" ht="12.75" customHeight="1">
      <c r="A37" s="58" t="s">
        <v>26</v>
      </c>
      <c r="B37" s="58"/>
      <c r="C37" s="58"/>
      <c r="D37" s="58"/>
      <c r="E37" s="58"/>
      <c r="F37" s="58"/>
      <c r="G37" s="58"/>
      <c r="H37" s="58"/>
      <c r="I37" s="58"/>
      <c r="J37" s="59"/>
      <c r="K37" s="59"/>
      <c r="L37" s="59"/>
      <c r="M37" s="59"/>
      <c r="N37" s="59"/>
      <c r="O37" s="59"/>
      <c r="P37" s="59"/>
      <c r="Q37" s="59"/>
      <c r="R37" s="60"/>
      <c r="S37" s="60"/>
      <c r="T37" s="60"/>
      <c r="U37" s="60"/>
      <c r="V37" s="61">
        <v>-0.14</v>
      </c>
      <c r="W37" s="61">
        <v>0.24</v>
      </c>
      <c r="X37" s="61">
        <v>0.15</v>
      </c>
      <c r="Y37" s="61">
        <v>0.22</v>
      </c>
      <c r="Z37" s="61">
        <v>0.71</v>
      </c>
      <c r="AA37" s="61">
        <v>0.3392</v>
      </c>
      <c r="AB37" s="61">
        <v>-0.135</v>
      </c>
      <c r="AC37" s="61">
        <v>-0.04920481888224015</v>
      </c>
      <c r="AD37" s="61">
        <v>0.212</v>
      </c>
      <c r="AE37" s="61">
        <v>-0.129</v>
      </c>
    </row>
    <row r="38" spans="1:31" s="62" customFormat="1" ht="15.75" customHeight="1" hidden="1">
      <c r="A38" s="58" t="s">
        <v>27</v>
      </c>
      <c r="B38" s="58">
        <v>2826</v>
      </c>
      <c r="C38" s="58">
        <v>1065</v>
      </c>
      <c r="D38" s="58">
        <v>1104</v>
      </c>
      <c r="E38" s="58">
        <v>1030</v>
      </c>
      <c r="F38" s="58">
        <v>1134</v>
      </c>
      <c r="G38" s="58">
        <v>2005</v>
      </c>
      <c r="H38" s="58">
        <v>2708</v>
      </c>
      <c r="I38" s="58">
        <v>2450</v>
      </c>
      <c r="J38" s="59">
        <v>8822</v>
      </c>
      <c r="K38" s="59">
        <v>5967</v>
      </c>
      <c r="L38" s="59">
        <v>8191</v>
      </c>
      <c r="M38" s="59">
        <v>9112</v>
      </c>
      <c r="N38" s="59">
        <v>8524</v>
      </c>
      <c r="O38" s="59">
        <v>6732</v>
      </c>
      <c r="P38" s="59">
        <v>8139</v>
      </c>
      <c r="Q38" s="59">
        <v>6692</v>
      </c>
      <c r="R38" s="60">
        <v>5937</v>
      </c>
      <c r="S38" s="60">
        <v>11263</v>
      </c>
      <c r="T38" s="60">
        <v>12390</v>
      </c>
      <c r="U38" s="60">
        <v>10801</v>
      </c>
      <c r="V38" s="63">
        <v>-0.21</v>
      </c>
      <c r="W38" s="63">
        <v>0.42</v>
      </c>
      <c r="X38" s="63">
        <v>0.11</v>
      </c>
      <c r="Y38" s="63">
        <v>0.24</v>
      </c>
      <c r="Z38" s="63">
        <v>0.78</v>
      </c>
      <c r="AA38" s="63">
        <v>0.364</v>
      </c>
      <c r="AB38" s="63"/>
      <c r="AC38" s="63">
        <v>-0.06583695875298823</v>
      </c>
      <c r="AD38" s="63">
        <v>22.100970291110976</v>
      </c>
      <c r="AE38" s="63">
        <v>22.100970291110976</v>
      </c>
    </row>
    <row r="39" spans="1:31" s="62" customFormat="1" ht="15.75" customHeight="1" hidden="1">
      <c r="A39" s="58" t="s">
        <v>28</v>
      </c>
      <c r="B39" s="58"/>
      <c r="C39" s="64">
        <f aca="true" t="shared" si="9" ref="C39:T39">((C38/B38)-1)*100</f>
        <v>-62.31422505307855</v>
      </c>
      <c r="D39" s="64">
        <f t="shared" si="9"/>
        <v>3.6619718309859106</v>
      </c>
      <c r="E39" s="64">
        <f t="shared" si="9"/>
        <v>-6.702898550724634</v>
      </c>
      <c r="F39" s="64">
        <f t="shared" si="9"/>
        <v>10.097087378640769</v>
      </c>
      <c r="G39" s="64">
        <f t="shared" si="9"/>
        <v>76.80776014109347</v>
      </c>
      <c r="H39" s="64">
        <f t="shared" si="9"/>
        <v>35.06234413965088</v>
      </c>
      <c r="I39" s="64">
        <f t="shared" si="9"/>
        <v>-9.527326440177253</v>
      </c>
      <c r="J39" s="65">
        <f t="shared" si="9"/>
        <v>260.0816326530612</v>
      </c>
      <c r="K39" s="65">
        <f t="shared" si="9"/>
        <v>-32.36227612786217</v>
      </c>
      <c r="L39" s="65">
        <f t="shared" si="9"/>
        <v>37.27166080107256</v>
      </c>
      <c r="M39" s="65">
        <f t="shared" si="9"/>
        <v>11.244048345745327</v>
      </c>
      <c r="N39" s="65">
        <f t="shared" si="9"/>
        <v>-6.453028972783148</v>
      </c>
      <c r="O39" s="65">
        <f t="shared" si="9"/>
        <v>-21.022993899577656</v>
      </c>
      <c r="P39" s="65">
        <f t="shared" si="9"/>
        <v>20.900178253119428</v>
      </c>
      <c r="Q39" s="65">
        <f t="shared" si="9"/>
        <v>-17.778596879223496</v>
      </c>
      <c r="R39" s="66">
        <f t="shared" si="9"/>
        <v>-11.282127913927075</v>
      </c>
      <c r="S39" s="66">
        <f>((S38/R38)-1)*100</f>
        <v>89.7086070405929</v>
      </c>
      <c r="T39" s="66">
        <f t="shared" si="9"/>
        <v>10.006215040397759</v>
      </c>
      <c r="U39" s="66">
        <f>((U38/T38)-1)*100</f>
        <v>-12.824858757062152</v>
      </c>
      <c r="V39" s="67" t="s">
        <v>29</v>
      </c>
      <c r="W39" s="67" t="s">
        <v>30</v>
      </c>
      <c r="X39" s="67" t="s">
        <v>31</v>
      </c>
      <c r="Y39" s="67" t="s">
        <v>32</v>
      </c>
      <c r="Z39" s="67" t="s">
        <v>33</v>
      </c>
      <c r="AA39" s="67"/>
      <c r="AB39" s="67"/>
      <c r="AC39" s="67">
        <v>-0.04920481888224015</v>
      </c>
      <c r="AD39" s="67"/>
      <c r="AE39" s="67"/>
    </row>
    <row r="40" spans="1:31" s="62" customFormat="1" ht="12.75" customHeight="1">
      <c r="A40" s="68" t="s">
        <v>34</v>
      </c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8"/>
      <c r="R40" s="70"/>
      <c r="S40" s="70"/>
      <c r="T40" s="70"/>
      <c r="U40" s="70"/>
      <c r="V40" s="71">
        <v>-0.21</v>
      </c>
      <c r="W40" s="71">
        <v>0.42</v>
      </c>
      <c r="X40" s="71">
        <v>0.11</v>
      </c>
      <c r="Y40" s="71">
        <v>0.24</v>
      </c>
      <c r="Z40" s="71">
        <v>0.78</v>
      </c>
      <c r="AA40" s="71">
        <v>0.364</v>
      </c>
      <c r="AB40" s="71">
        <v>-0.134</v>
      </c>
      <c r="AC40" s="71">
        <v>-0.06583695875298823</v>
      </c>
      <c r="AD40" s="71">
        <v>0.221</v>
      </c>
      <c r="AE40" s="71">
        <v>-0.128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Marché monétaire et boursier</dc:title>
  <dc:subject/>
  <dc:creator>amrani</dc:creator>
  <cp:keywords/>
  <dc:description/>
  <cp:lastModifiedBy>amrani</cp:lastModifiedBy>
  <dcterms:created xsi:type="dcterms:W3CDTF">2012-12-03T10:52:33Z</dcterms:created>
  <dcterms:modified xsi:type="dcterms:W3CDTF">2012-12-03T10:53:40Z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DocTh">
    <vt:lpwstr>FINANCE</vt:lpwstr>
  </property>
  <property fmtid="{D5CDD505-2E9C-101B-9397-08002B2CF9AE}" pid="4" name="DocDescript">
    <vt:lpwstr>Marché monétaire et boursier (de 2000 à 2011) - Ministère de l'économie et des finances</vt:lpwstr>
  </property>
  <property fmtid="{D5CDD505-2E9C-101B-9397-08002B2CF9AE}" pid="5" name="ContentTy">
    <vt:lpwstr>OpenDataContentType</vt:lpwstr>
  </property>
  <property fmtid="{D5CDD505-2E9C-101B-9397-08002B2CF9AE}" pid="6" name="DocDatePublicati">
    <vt:lpwstr>2012</vt:lpwstr>
  </property>
  <property fmtid="{D5CDD505-2E9C-101B-9397-08002B2CF9AE}" pid="7" name="DocLienExter">
    <vt:lpwstr/>
  </property>
</Properties>
</file>